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<sst xmlns="http://schemas.openxmlformats.org/spreadsheetml/2006/main" count="101">
  <si>
    <t>单位：万元</t>
  </si>
  <si>
    <t>项    目</t>
  </si>
  <si>
    <t>2024年  调整预算数</t>
  </si>
  <si>
    <t>上年   同期数</t>
  </si>
  <si>
    <t>比上年同期</t>
  </si>
  <si>
    <t>2024年调整预算数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</si>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</sst>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%"/>
    <numFmt numFmtId="178" formatCode="_-&quot;￥&quot;* #,##0.00_-;\-&quot;￥&quot;* #,##0.00_-;_-&quot;￥&quot;* &quot;-&quot;??_-;_-@_-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5" fillId="29" borderId="1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0" xfId="4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</xf>
    <xf numFmtId="177" fontId="5" fillId="0" borderId="0" xfId="49" applyNumberFormat="1" applyFont="1" applyFill="1" applyBorder="1" applyAlignment="1" applyProtection="1">
      <alignment horizontal="right"/>
    </xf>
    <xf numFmtId="176" fontId="4" fillId="0" borderId="0" xfId="49" applyNumberFormat="1" applyFont="1" applyFill="1" applyBorder="1" applyAlignment="1" applyProtection="1">
      <alignment horizontal="right"/>
    </xf>
    <xf numFmtId="177" fontId="4" fillId="0" borderId="0" xfId="49" applyNumberFormat="1" applyFont="1" applyFill="1" applyBorder="1" applyAlignment="1" applyProtection="1">
      <alignment horizontal="right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3" borderId="1" xfId="49" applyNumberFormat="1" applyFont="1" applyFill="1" applyBorder="1" applyAlignment="1" applyProtection="1">
      <alignment horizontal="center" vertical="center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</xf>
    <xf numFmtId="179" fontId="7" fillId="3" borderId="1" xfId="49" applyNumberFormat="1" applyFont="1" applyFill="1" applyBorder="1" applyAlignment="1" applyProtection="1">
      <alignment horizontal="center" vertical="center"/>
    </xf>
    <xf numFmtId="10" fontId="7" fillId="0" borderId="1" xfId="11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11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left" vertical="center" wrapText="1"/>
    </xf>
    <xf numFmtId="178" fontId="7" fillId="0" borderId="1" xfId="4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177" fontId="4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6" borderId="1" xfId="49" applyNumberFormat="1" applyFont="1" applyFill="1" applyBorder="1" applyAlignment="1" applyProtection="1">
      <alignment horizontal="center" vertical="center"/>
    </xf>
    <xf numFmtId="0" fontId="7" fillId="6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9" fontId="7" fillId="0" borderId="1" xfId="8" applyNumberFormat="1" applyFont="1" applyFill="1" applyBorder="1" applyAlignment="1" applyProtection="1">
      <alignment horizontal="center" vertical="center"/>
    </xf>
    <xf numFmtId="0" fontId="9" fillId="4" borderId="1" xfId="49" applyFont="1" applyFill="1" applyBorder="1" applyAlignment="1" applyProtection="1">
      <alignment horizontal="center" vertical="center"/>
      <protection locked="0"/>
    </xf>
    <xf numFmtId="2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31639;&#25191;&#34892;&#20998;&#26512;&#65288;2024&#24180;&#65289;\&#38463;&#21512;&#22855;&#21439;&#36130;&#25919;2024&#24180;11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>
        <row r="1">
          <cell r="A1" t="str">
            <v>2024年11月阿合奇县预算执行月报</v>
          </cell>
        </row>
        <row r="6">
          <cell r="F6">
            <v>29703</v>
          </cell>
        </row>
        <row r="7">
          <cell r="C7">
            <v>3445</v>
          </cell>
        </row>
        <row r="62">
          <cell r="C62">
            <v>409</v>
          </cell>
        </row>
        <row r="188">
          <cell r="C188">
            <v>365</v>
          </cell>
        </row>
        <row r="195">
          <cell r="C195">
            <v>317</v>
          </cell>
        </row>
        <row r="200">
          <cell r="C200">
            <v>295</v>
          </cell>
        </row>
        <row r="216">
          <cell r="C216">
            <v>136</v>
          </cell>
        </row>
        <row r="225">
          <cell r="C225">
            <v>141</v>
          </cell>
        </row>
        <row r="231">
          <cell r="C231">
            <v>25</v>
          </cell>
        </row>
        <row r="240">
          <cell r="C240">
            <v>37</v>
          </cell>
        </row>
        <row r="247">
          <cell r="F247">
            <v>0</v>
          </cell>
        </row>
        <row r="249">
          <cell r="C249">
            <v>241</v>
          </cell>
        </row>
        <row r="270">
          <cell r="C270">
            <v>-562</v>
          </cell>
        </row>
        <row r="274">
          <cell r="C274">
            <v>119</v>
          </cell>
        </row>
        <row r="287">
          <cell r="C287">
            <v>374</v>
          </cell>
        </row>
        <row r="287">
          <cell r="F287">
            <v>94</v>
          </cell>
        </row>
        <row r="306">
          <cell r="F306">
            <v>10571</v>
          </cell>
        </row>
        <row r="314">
          <cell r="C314">
            <v>273</v>
          </cell>
        </row>
        <row r="396">
          <cell r="F396">
            <v>30194</v>
          </cell>
        </row>
        <row r="448">
          <cell r="F448">
            <v>311</v>
          </cell>
        </row>
        <row r="504">
          <cell r="F504">
            <v>3159</v>
          </cell>
        </row>
        <row r="508">
          <cell r="C508">
            <v>1572</v>
          </cell>
        </row>
        <row r="548">
          <cell r="C548">
            <v>0</v>
          </cell>
        </row>
        <row r="561">
          <cell r="F561">
            <v>19371</v>
          </cell>
        </row>
        <row r="567">
          <cell r="C567">
            <v>4605</v>
          </cell>
        </row>
        <row r="618">
          <cell r="C618">
            <v>300</v>
          </cell>
        </row>
        <row r="627">
          <cell r="C627">
            <v>1</v>
          </cell>
        </row>
        <row r="637">
          <cell r="C637">
            <v>600</v>
          </cell>
        </row>
        <row r="690">
          <cell r="F690">
            <v>10524</v>
          </cell>
        </row>
        <row r="771">
          <cell r="F771">
            <v>1336</v>
          </cell>
        </row>
        <row r="842">
          <cell r="F842">
            <v>3368</v>
          </cell>
        </row>
        <row r="865">
          <cell r="F865">
            <v>33764</v>
          </cell>
        </row>
        <row r="973">
          <cell r="F973">
            <v>7093</v>
          </cell>
        </row>
        <row r="1025">
          <cell r="F1025">
            <v>0</v>
          </cell>
        </row>
        <row r="1089">
          <cell r="F1089">
            <v>137</v>
          </cell>
        </row>
        <row r="1109">
          <cell r="F1109">
            <v>3</v>
          </cell>
        </row>
        <row r="1149">
          <cell r="F1149">
            <v>407</v>
          </cell>
        </row>
        <row r="1194">
          <cell r="F1194">
            <v>8373</v>
          </cell>
        </row>
        <row r="1215">
          <cell r="F1215">
            <v>0</v>
          </cell>
        </row>
        <row r="1260">
          <cell r="F1260">
            <v>10268</v>
          </cell>
        </row>
        <row r="1310">
          <cell r="F1310">
            <v>3149</v>
          </cell>
        </row>
        <row r="1313">
          <cell r="F1313">
            <v>3186</v>
          </cell>
        </row>
        <row r="1326">
          <cell r="F1326">
            <v>7</v>
          </cell>
        </row>
        <row r="1334">
          <cell r="F1334">
            <v>3008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2"/>
  <sheetViews>
    <sheetView tabSelected="1" workbookViewId="0">
      <selection activeCell="A1" sqref="$A1:$XFD1048576"/>
    </sheetView>
  </sheetViews>
  <sheetFormatPr defaultColWidth="8.8" defaultRowHeight="14.25"/>
  <cols>
    <col min="1" max="1" width="21.5" style="4" customWidth="1"/>
    <col min="2" max="2" width="8.25" style="5" customWidth="1"/>
    <col min="3" max="3" width="6.5" style="5" customWidth="1"/>
    <col min="4" max="4" width="8.625" style="5" customWidth="1"/>
    <col min="5" max="5" width="8.625" style="6" customWidth="1"/>
    <col min="6" max="6" width="6.875" style="7" customWidth="1"/>
    <col min="7" max="7" width="8.5" style="6" customWidth="1"/>
    <col min="8" max="8" width="7.875" style="6" customWidth="1"/>
    <col min="9" max="9" width="7.25" style="6" customWidth="1"/>
    <col min="10" max="10" width="4.7" style="6" customWidth="1"/>
    <col min="11" max="11" width="16.75" style="4" customWidth="1"/>
    <col min="12" max="12" width="8.375" style="2" customWidth="1"/>
    <col min="13" max="13" width="7.25" style="2" customWidth="1"/>
    <col min="14" max="14" width="8.25" style="2" customWidth="1"/>
    <col min="15" max="15" width="9" style="8"/>
    <col min="16" max="16" width="7.75" style="9" customWidth="1"/>
    <col min="17" max="17" width="8.93333333333333" style="8" customWidth="1"/>
    <col min="18" max="18" width="7.875" style="2" customWidth="1"/>
    <col min="19" max="19" width="8.225" style="2" customWidth="1"/>
    <col min="20" max="33" width="9" style="2"/>
    <col min="34" max="16384" width="8.8" style="2"/>
  </cols>
  <sheetData>
    <row r="1" s="1" customFormat="1" ht="21" customHeight="1" spans="1:19">
      <c r="A1" s="10" t="str">
        <f>"克州阿合奇县"&amp;MID('[1]收支月报（从蓝A系统导出粘贴）'!A1,1,FIND("月",'[1]收支月报（从蓝A系统导出粘贴）'!A1,1))&amp;"财政收支预算执行情况表"</f>
        <v>克州阿合奇县2024年11月财政收支预算执行情况表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15" customHeight="1" spans="1:19">
      <c r="A2" s="11"/>
      <c r="B2" s="12"/>
      <c r="C2" s="12"/>
      <c r="D2" s="12"/>
      <c r="E2" s="13"/>
      <c r="F2" s="14"/>
      <c r="G2" s="15"/>
      <c r="H2" s="15"/>
      <c r="I2" s="15"/>
      <c r="J2" s="15"/>
      <c r="K2" s="11"/>
      <c r="L2" s="41"/>
      <c r="M2" s="42"/>
      <c r="N2" s="42"/>
      <c r="O2" s="43"/>
      <c r="P2" s="44"/>
      <c r="Q2" s="43"/>
      <c r="R2" s="62" t="s">
        <v>0</v>
      </c>
      <c r="S2" s="62"/>
    </row>
    <row r="3" s="1" customFormat="1" ht="21" customHeight="1" spans="1:19">
      <c r="A3" s="16" t="s">
        <v>1</v>
      </c>
      <c r="B3" s="17" t="s">
        <v>2</v>
      </c>
      <c r="C3" s="17" t="s">
        <v>3</v>
      </c>
      <c r="D3" s="18" t="str">
        <f>"1-"&amp;MID('[1]收支月报（从蓝A系统导出粘贴）'!A1,6,FIND("月",'[1]收支月报（从蓝A系统导出粘贴）'!A1,1)-FIND("年",'[1]收支月报（从蓝A系统导出粘贴）'!A1,1)-1)&amp;"月累计完成情况"</f>
        <v>1-11月累计完成情况</v>
      </c>
      <c r="E3" s="18"/>
      <c r="F3" s="18" t="s">
        <v>4</v>
      </c>
      <c r="G3" s="18"/>
      <c r="H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2024年1-10月累计完成</v>
      </c>
      <c r="I3" s="17" t="str">
        <f>MID('[1]收支月报（从蓝A系统导出粘贴）'!A1,1,FIND("月",'[1]收支月报（从蓝A系统导出粘贴）'!A1,1))&amp;"当月完成"</f>
        <v>2024年11月当月完成</v>
      </c>
      <c r="J3" s="45" t="s">
        <v>1</v>
      </c>
      <c r="K3" s="46"/>
      <c r="L3" s="17" t="s">
        <v>5</v>
      </c>
      <c r="M3" s="17" t="s">
        <v>6</v>
      </c>
      <c r="N3" s="18" t="str">
        <f>"1-"&amp;MID('[1]收支月报（从蓝A系统导出粘贴）'!A1,6,FIND("月",'[1]收支月报（从蓝A系统导出粘贴）'!A1,1)-FIND("年",'[1]收支月报（从蓝A系统导出粘贴）'!A1,1)-1)&amp;"月累计完成情况"</f>
        <v>1-11月累计完成情况</v>
      </c>
      <c r="O3" s="18"/>
      <c r="P3" s="18" t="s">
        <v>4</v>
      </c>
      <c r="Q3" s="18"/>
      <c r="R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2024年1-10月累计完成</v>
      </c>
      <c r="S3" s="17" t="str">
        <f>MID('[1]收支月报（从蓝A系统导出粘贴）'!A1,1,FIND("月",'[1]收支月报（从蓝A系统导出粘贴）'!A1,1))&amp;"当月完成"</f>
        <v>2024年11月当月完成</v>
      </c>
    </row>
    <row r="4" s="1" customFormat="1" ht="21" customHeight="1" spans="1:19">
      <c r="A4" s="16"/>
      <c r="B4" s="17"/>
      <c r="C4" s="17"/>
      <c r="D4" s="17" t="s">
        <v>7</v>
      </c>
      <c r="E4" s="19" t="s">
        <v>8</v>
      </c>
      <c r="F4" s="20" t="s">
        <v>9</v>
      </c>
      <c r="G4" s="19" t="s">
        <v>10</v>
      </c>
      <c r="H4" s="17"/>
      <c r="I4" s="17"/>
      <c r="J4" s="47"/>
      <c r="K4" s="48"/>
      <c r="L4" s="17"/>
      <c r="M4" s="17"/>
      <c r="N4" s="17" t="s">
        <v>7</v>
      </c>
      <c r="O4" s="19" t="s">
        <v>8</v>
      </c>
      <c r="P4" s="20" t="s">
        <v>9</v>
      </c>
      <c r="Q4" s="19" t="s">
        <v>10</v>
      </c>
      <c r="R4" s="17"/>
      <c r="S4" s="17"/>
    </row>
    <row r="5" s="1" customFormat="1" ht="13" customHeight="1" spans="1:19">
      <c r="A5" s="16" t="s">
        <v>11</v>
      </c>
      <c r="B5" s="21">
        <f>B6+B34</f>
        <v>19553</v>
      </c>
      <c r="C5" s="22">
        <f t="shared" ref="C5:I5" si="0">C6+C34</f>
        <v>14497</v>
      </c>
      <c r="D5" s="22">
        <f t="shared" si="0"/>
        <v>12693</v>
      </c>
      <c r="E5" s="23">
        <f t="shared" ref="E5:E32" si="1">IF(OR(B5="",B5=0),"",D5/B5)</f>
        <v>0.64915869687516</v>
      </c>
      <c r="F5" s="24">
        <f t="shared" ref="F5:F32" si="2">IF(OR(C5="",C5=0),"",D5-C5)</f>
        <v>-1804</v>
      </c>
      <c r="G5" s="25">
        <f t="shared" ref="G5:G32" si="3">IF(OR(C5="",C5=0),"",SUM(F5/C5))</f>
        <v>-0.12443953921501</v>
      </c>
      <c r="H5" s="22">
        <f t="shared" si="0"/>
        <v>11797</v>
      </c>
      <c r="I5" s="24">
        <f t="shared" si="0"/>
        <v>896</v>
      </c>
      <c r="J5" s="49" t="s">
        <v>12</v>
      </c>
      <c r="K5" s="50"/>
      <c r="L5" s="29">
        <f t="shared" ref="L5:N5" si="4">L6+L34</f>
        <v>186691</v>
      </c>
      <c r="M5" s="29">
        <f t="shared" si="4"/>
        <v>167581</v>
      </c>
      <c r="N5" s="29">
        <f t="shared" si="4"/>
        <v>178026</v>
      </c>
      <c r="O5" s="25">
        <f t="shared" ref="O5:O32" si="5">IF(OR(L5="",L5=0),"",N5/L5)</f>
        <v>0.953586407486167</v>
      </c>
      <c r="P5" s="24">
        <f t="shared" ref="P5:P32" si="6">IF(OR(M5="",M5=0),"",N5-M5)</f>
        <v>10445</v>
      </c>
      <c r="Q5" s="25">
        <f t="shared" ref="Q5:Q32" si="7">IF(OR(M5="",M5=0),"",SUM(P5/M5))</f>
        <v>0.0623280682177574</v>
      </c>
      <c r="R5" s="29">
        <f>R6+R34</f>
        <v>160806</v>
      </c>
      <c r="S5" s="61">
        <f>S6+S34</f>
        <v>17220</v>
      </c>
    </row>
    <row r="6" s="1" customFormat="1" ht="15" customHeight="1" spans="1:19">
      <c r="A6" s="16" t="s">
        <v>13</v>
      </c>
      <c r="B6" s="21">
        <f>B7+B25</f>
        <v>13730</v>
      </c>
      <c r="C6" s="22">
        <f t="shared" ref="C6:I6" si="8">C7+C25</f>
        <v>10418</v>
      </c>
      <c r="D6" s="22">
        <f t="shared" si="8"/>
        <v>12093</v>
      </c>
      <c r="E6" s="23">
        <f t="shared" si="1"/>
        <v>0.880772032046613</v>
      </c>
      <c r="F6" s="24">
        <f t="shared" si="2"/>
        <v>1675</v>
      </c>
      <c r="G6" s="25">
        <f t="shared" si="3"/>
        <v>0.16077942023421</v>
      </c>
      <c r="H6" s="22">
        <f t="shared" si="8"/>
        <v>11217</v>
      </c>
      <c r="I6" s="24">
        <f t="shared" si="8"/>
        <v>876</v>
      </c>
      <c r="J6" s="49" t="s">
        <v>14</v>
      </c>
      <c r="K6" s="50"/>
      <c r="L6" s="29">
        <f>L7+L8+L9+L10+L11+L12+L13+L14+L15+L16+L17+L18+L19+L20+L21+L22+L23+L24+L25+L26+L27+L28+L29+L30+L31+L32</f>
        <v>179667</v>
      </c>
      <c r="M6" s="29">
        <f t="shared" ref="M6:R6" si="9">M7+M8+M9+M10+M11+M12+M13+M14+M15+M16+M17+M18+M19+M20+M21+M22+M23+M24+M25+M26+M27+M28+M29+M30</f>
        <v>160621</v>
      </c>
      <c r="N6" s="29">
        <f t="shared" si="9"/>
        <v>175018</v>
      </c>
      <c r="O6" s="25">
        <f t="shared" si="5"/>
        <v>0.974124352273929</v>
      </c>
      <c r="P6" s="24">
        <f t="shared" si="6"/>
        <v>14397</v>
      </c>
      <c r="Q6" s="25">
        <f t="shared" si="7"/>
        <v>0.0896333605194838</v>
      </c>
      <c r="R6" s="29">
        <f t="shared" si="9"/>
        <v>158027</v>
      </c>
      <c r="S6" s="61">
        <f>SUM(S7:S28)</f>
        <v>16991</v>
      </c>
    </row>
    <row r="7" s="2" customFormat="1" ht="15" customHeight="1" spans="1:19">
      <c r="A7" s="16" t="s">
        <v>15</v>
      </c>
      <c r="B7" s="21">
        <f>B8+B9+B10+B11+B12+B13+B14+B15+B16+B17+B18+B19+B20+B21+B22</f>
        <v>6910</v>
      </c>
      <c r="C7" s="22">
        <f t="shared" ref="C7:I7" si="10">C8+C9+C10+C11+C12+C13+C14+C15+C16+C17+C18+C19+C20+C21+C22</f>
        <v>4796</v>
      </c>
      <c r="D7" s="22">
        <f t="shared" si="10"/>
        <v>4968</v>
      </c>
      <c r="E7" s="23">
        <f t="shared" si="1"/>
        <v>0.718958031837916</v>
      </c>
      <c r="F7" s="24">
        <f t="shared" si="2"/>
        <v>172</v>
      </c>
      <c r="G7" s="25">
        <f t="shared" si="3"/>
        <v>0.0358632193494579</v>
      </c>
      <c r="H7" s="22">
        <f t="shared" si="10"/>
        <v>4345</v>
      </c>
      <c r="I7" s="24">
        <f t="shared" si="10"/>
        <v>623</v>
      </c>
      <c r="J7" s="51" t="s">
        <v>16</v>
      </c>
      <c r="K7" s="26" t="s">
        <v>17</v>
      </c>
      <c r="L7" s="52">
        <v>32537</v>
      </c>
      <c r="M7" s="53">
        <v>29110</v>
      </c>
      <c r="N7" s="54">
        <f>'[1]收支月报（从蓝A系统导出粘贴）'!F6</f>
        <v>29703</v>
      </c>
      <c r="O7" s="25">
        <f t="shared" si="5"/>
        <v>0.91289916095522</v>
      </c>
      <c r="P7" s="24">
        <f t="shared" si="6"/>
        <v>593</v>
      </c>
      <c r="Q7" s="25">
        <f t="shared" si="7"/>
        <v>0.0203710065269667</v>
      </c>
      <c r="R7" s="53">
        <v>27160</v>
      </c>
      <c r="S7" s="24">
        <f t="shared" ref="S7:S32" si="11">N7-R7</f>
        <v>2543</v>
      </c>
    </row>
    <row r="8" s="2" customFormat="1" ht="15" customHeight="1" spans="1:19">
      <c r="A8" s="26" t="s">
        <v>18</v>
      </c>
      <c r="B8" s="27">
        <v>3865</v>
      </c>
      <c r="C8" s="28">
        <v>2527</v>
      </c>
      <c r="D8" s="29">
        <f>'[1]收支月报（从蓝A系统导出粘贴）'!C7</f>
        <v>3445</v>
      </c>
      <c r="E8" s="23">
        <f t="shared" si="1"/>
        <v>0.891332470892626</v>
      </c>
      <c r="F8" s="24">
        <f t="shared" si="2"/>
        <v>918</v>
      </c>
      <c r="G8" s="25">
        <f t="shared" si="3"/>
        <v>0.363276612584092</v>
      </c>
      <c r="H8" s="28">
        <v>3060</v>
      </c>
      <c r="I8" s="24">
        <f t="shared" ref="I8:I13" si="12">D8-H8</f>
        <v>385</v>
      </c>
      <c r="J8" s="51" t="s">
        <v>19</v>
      </c>
      <c r="K8" s="26" t="s">
        <v>20</v>
      </c>
      <c r="L8" s="52"/>
      <c r="M8" s="53"/>
      <c r="N8" s="54">
        <f>'[1]收支月报（从蓝A系统导出粘贴）'!F247</f>
        <v>0</v>
      </c>
      <c r="O8" s="25" t="str">
        <f t="shared" si="5"/>
        <v/>
      </c>
      <c r="P8" s="24" t="str">
        <f t="shared" si="6"/>
        <v/>
      </c>
      <c r="Q8" s="25" t="str">
        <f t="shared" si="7"/>
        <v/>
      </c>
      <c r="R8" s="63"/>
      <c r="S8" s="24">
        <f t="shared" si="11"/>
        <v>0</v>
      </c>
    </row>
    <row r="9" s="2" customFormat="1" ht="15" customHeight="1" spans="1:19">
      <c r="A9" s="26" t="s">
        <v>21</v>
      </c>
      <c r="B9" s="27"/>
      <c r="C9" s="28"/>
      <c r="D9" s="29"/>
      <c r="E9" s="23" t="str">
        <f t="shared" si="1"/>
        <v/>
      </c>
      <c r="F9" s="24" t="str">
        <f t="shared" si="2"/>
        <v/>
      </c>
      <c r="G9" s="25" t="str">
        <f t="shared" si="3"/>
        <v/>
      </c>
      <c r="H9" s="28"/>
      <c r="I9" s="24"/>
      <c r="J9" s="51" t="s">
        <v>22</v>
      </c>
      <c r="K9" s="26" t="s">
        <v>23</v>
      </c>
      <c r="L9" s="52">
        <v>63</v>
      </c>
      <c r="M9" s="53">
        <v>48</v>
      </c>
      <c r="N9" s="54">
        <f>'[1]收支月报（从蓝A系统导出粘贴）'!F287</f>
        <v>94</v>
      </c>
      <c r="O9" s="25">
        <f t="shared" si="5"/>
        <v>1.49206349206349</v>
      </c>
      <c r="P9" s="24">
        <f t="shared" si="6"/>
        <v>46</v>
      </c>
      <c r="Q9" s="25">
        <f t="shared" si="7"/>
        <v>0.958333333333333</v>
      </c>
      <c r="R9" s="53">
        <v>94</v>
      </c>
      <c r="S9" s="24">
        <f t="shared" si="11"/>
        <v>0</v>
      </c>
    </row>
    <row r="10" s="2" customFormat="1" ht="15" customHeight="1" spans="1:19">
      <c r="A10" s="26" t="s">
        <v>24</v>
      </c>
      <c r="B10" s="27">
        <v>317</v>
      </c>
      <c r="C10" s="28">
        <v>253</v>
      </c>
      <c r="D10" s="29">
        <f>'[1]收支月报（从蓝A系统导出粘贴）'!C62</f>
        <v>409</v>
      </c>
      <c r="E10" s="23">
        <f t="shared" si="1"/>
        <v>1.29022082018927</v>
      </c>
      <c r="F10" s="24">
        <f t="shared" si="2"/>
        <v>156</v>
      </c>
      <c r="G10" s="25">
        <f t="shared" si="3"/>
        <v>0.616600790513834</v>
      </c>
      <c r="H10" s="28">
        <v>400</v>
      </c>
      <c r="I10" s="24">
        <f t="shared" si="12"/>
        <v>9</v>
      </c>
      <c r="J10" s="51" t="s">
        <v>25</v>
      </c>
      <c r="K10" s="26" t="s">
        <v>26</v>
      </c>
      <c r="L10" s="52">
        <v>13735</v>
      </c>
      <c r="M10" s="53">
        <v>9719</v>
      </c>
      <c r="N10" s="54">
        <f>'[1]收支月报（从蓝A系统导出粘贴）'!F306</f>
        <v>10571</v>
      </c>
      <c r="O10" s="25">
        <f t="shared" si="5"/>
        <v>0.76963960684383</v>
      </c>
      <c r="P10" s="24">
        <f t="shared" si="6"/>
        <v>852</v>
      </c>
      <c r="Q10" s="25">
        <f t="shared" si="7"/>
        <v>0.0876633398497788</v>
      </c>
      <c r="R10" s="53">
        <v>9300</v>
      </c>
      <c r="S10" s="24">
        <f t="shared" si="11"/>
        <v>1271</v>
      </c>
    </row>
    <row r="11" s="2" customFormat="1" ht="15" customHeight="1" spans="1:19">
      <c r="A11" s="26" t="s">
        <v>27</v>
      </c>
      <c r="B11" s="27"/>
      <c r="C11" s="28"/>
      <c r="D11" s="29">
        <f>'[1]收支月报（从蓝A系统导出粘贴）'!C187</f>
        <v>0</v>
      </c>
      <c r="E11" s="23" t="str">
        <f t="shared" si="1"/>
        <v/>
      </c>
      <c r="F11" s="24" t="str">
        <f t="shared" si="2"/>
        <v/>
      </c>
      <c r="G11" s="25" t="str">
        <f t="shared" si="3"/>
        <v/>
      </c>
      <c r="H11" s="28"/>
      <c r="I11" s="24"/>
      <c r="J11" s="51" t="s">
        <v>28</v>
      </c>
      <c r="K11" s="26" t="s">
        <v>29</v>
      </c>
      <c r="L11" s="52">
        <v>32472</v>
      </c>
      <c r="M11" s="53">
        <v>30207</v>
      </c>
      <c r="N11" s="55">
        <f>'[1]收支月报（从蓝A系统导出粘贴）'!F396</f>
        <v>30194</v>
      </c>
      <c r="O11" s="25">
        <f t="shared" si="5"/>
        <v>0.929847253017985</v>
      </c>
      <c r="P11" s="24">
        <f t="shared" si="6"/>
        <v>-13</v>
      </c>
      <c r="Q11" s="25">
        <f t="shared" si="7"/>
        <v>-0.000430363822954944</v>
      </c>
      <c r="R11" s="53">
        <v>26786</v>
      </c>
      <c r="S11" s="24">
        <f t="shared" si="11"/>
        <v>3408</v>
      </c>
    </row>
    <row r="12" s="2" customFormat="1" ht="15" customHeight="1" spans="1:19">
      <c r="A12" s="26" t="s">
        <v>30</v>
      </c>
      <c r="B12" s="27">
        <v>440</v>
      </c>
      <c r="C12" s="30">
        <v>379</v>
      </c>
      <c r="D12" s="29">
        <f>'[1]收支月报（从蓝A系统导出粘贴）'!C188</f>
        <v>365</v>
      </c>
      <c r="E12" s="23">
        <f t="shared" si="1"/>
        <v>0.829545454545455</v>
      </c>
      <c r="F12" s="24">
        <f t="shared" si="2"/>
        <v>-14</v>
      </c>
      <c r="G12" s="25">
        <f t="shared" si="3"/>
        <v>-0.0369393139841689</v>
      </c>
      <c r="H12" s="28">
        <v>328</v>
      </c>
      <c r="I12" s="24">
        <f t="shared" si="12"/>
        <v>37</v>
      </c>
      <c r="J12" s="51" t="s">
        <v>31</v>
      </c>
      <c r="K12" s="26" t="s">
        <v>32</v>
      </c>
      <c r="L12" s="52">
        <v>156</v>
      </c>
      <c r="M12" s="53">
        <v>126</v>
      </c>
      <c r="N12" s="56">
        <f>'[1]收支月报（从蓝A系统导出粘贴）'!F448</f>
        <v>311</v>
      </c>
      <c r="O12" s="25">
        <f t="shared" si="5"/>
        <v>1.99358974358974</v>
      </c>
      <c r="P12" s="24">
        <f t="shared" si="6"/>
        <v>185</v>
      </c>
      <c r="Q12" s="25">
        <f t="shared" si="7"/>
        <v>1.46825396825397</v>
      </c>
      <c r="R12" s="53">
        <v>300</v>
      </c>
      <c r="S12" s="24">
        <f t="shared" si="11"/>
        <v>11</v>
      </c>
    </row>
    <row r="13" s="2" customFormat="1" ht="15" customHeight="1" spans="1:19">
      <c r="A13" s="26" t="s">
        <v>33</v>
      </c>
      <c r="B13" s="27">
        <v>65</v>
      </c>
      <c r="C13" s="28">
        <v>11</v>
      </c>
      <c r="D13" s="29">
        <f>'[1]收支月报（从蓝A系统导出粘贴）'!C195</f>
        <v>317</v>
      </c>
      <c r="E13" s="31">
        <f t="shared" si="1"/>
        <v>4.87692307692308</v>
      </c>
      <c r="F13" s="24">
        <f t="shared" si="2"/>
        <v>306</v>
      </c>
      <c r="G13" s="25">
        <f t="shared" si="3"/>
        <v>27.8181818181818</v>
      </c>
      <c r="H13" s="28">
        <v>222</v>
      </c>
      <c r="I13" s="24">
        <f t="shared" si="12"/>
        <v>95</v>
      </c>
      <c r="J13" s="51" t="s">
        <v>34</v>
      </c>
      <c r="K13" s="26" t="s">
        <v>35</v>
      </c>
      <c r="L13" s="52">
        <v>3014</v>
      </c>
      <c r="M13" s="53">
        <v>2479</v>
      </c>
      <c r="N13" s="56">
        <f>'[1]收支月报（从蓝A系统导出粘贴）'!F504</f>
        <v>3159</v>
      </c>
      <c r="O13" s="25">
        <f t="shared" si="5"/>
        <v>1.04810882548109</v>
      </c>
      <c r="P13" s="24">
        <f t="shared" si="6"/>
        <v>680</v>
      </c>
      <c r="Q13" s="25">
        <f t="shared" si="7"/>
        <v>0.27430415490117</v>
      </c>
      <c r="R13" s="53">
        <v>2559</v>
      </c>
      <c r="S13" s="24">
        <f t="shared" si="11"/>
        <v>600</v>
      </c>
    </row>
    <row r="14" s="2" customFormat="1" ht="18" customHeight="1" spans="1:19">
      <c r="A14" s="26" t="s">
        <v>36</v>
      </c>
      <c r="B14" s="27"/>
      <c r="C14" s="28"/>
      <c r="D14" s="29"/>
      <c r="E14" s="23" t="str">
        <f t="shared" si="1"/>
        <v/>
      </c>
      <c r="F14" s="24" t="str">
        <f t="shared" si="2"/>
        <v/>
      </c>
      <c r="G14" s="25" t="str">
        <f t="shared" si="3"/>
        <v/>
      </c>
      <c r="H14" s="28"/>
      <c r="I14" s="24"/>
      <c r="J14" s="51" t="s">
        <v>37</v>
      </c>
      <c r="K14" s="26" t="s">
        <v>38</v>
      </c>
      <c r="L14" s="52">
        <v>20820</v>
      </c>
      <c r="M14" s="53">
        <v>19111</v>
      </c>
      <c r="N14" s="56">
        <f>'[1]收支月报（从蓝A系统导出粘贴）'!F561</f>
        <v>19371</v>
      </c>
      <c r="O14" s="25">
        <f t="shared" si="5"/>
        <v>0.930403458213256</v>
      </c>
      <c r="P14" s="24">
        <f t="shared" si="6"/>
        <v>260</v>
      </c>
      <c r="Q14" s="25">
        <f t="shared" si="7"/>
        <v>0.0136047302600597</v>
      </c>
      <c r="R14" s="53">
        <v>17186</v>
      </c>
      <c r="S14" s="24">
        <f t="shared" si="11"/>
        <v>2185</v>
      </c>
    </row>
    <row r="15" s="2" customFormat="1" ht="15" customHeight="1" spans="1:19">
      <c r="A15" s="26" t="s">
        <v>39</v>
      </c>
      <c r="B15" s="27">
        <v>370</v>
      </c>
      <c r="C15" s="28">
        <v>244</v>
      </c>
      <c r="D15" s="29">
        <f>'[1]收支月报（从蓝A系统导出粘贴）'!C200</f>
        <v>295</v>
      </c>
      <c r="E15" s="23">
        <f t="shared" si="1"/>
        <v>0.797297297297297</v>
      </c>
      <c r="F15" s="24">
        <f t="shared" si="2"/>
        <v>51</v>
      </c>
      <c r="G15" s="25">
        <f t="shared" si="3"/>
        <v>0.209016393442623</v>
      </c>
      <c r="H15" s="28">
        <v>266</v>
      </c>
      <c r="I15" s="24">
        <f t="shared" ref="I15:I22" si="13">D15-H15</f>
        <v>29</v>
      </c>
      <c r="J15" s="51" t="s">
        <v>40</v>
      </c>
      <c r="K15" s="26" t="s">
        <v>41</v>
      </c>
      <c r="L15" s="52">
        <v>13092</v>
      </c>
      <c r="M15" s="53">
        <v>13595</v>
      </c>
      <c r="N15" s="56">
        <f>'[1]收支月报（从蓝A系统导出粘贴）'!F690</f>
        <v>10524</v>
      </c>
      <c r="O15" s="25">
        <f t="shared" si="5"/>
        <v>0.803849679193401</v>
      </c>
      <c r="P15" s="24">
        <f t="shared" si="6"/>
        <v>-3071</v>
      </c>
      <c r="Q15" s="25">
        <f t="shared" si="7"/>
        <v>-0.225891872011769</v>
      </c>
      <c r="R15" s="53">
        <v>9749</v>
      </c>
      <c r="S15" s="24">
        <f t="shared" si="11"/>
        <v>775</v>
      </c>
    </row>
    <row r="16" s="2" customFormat="1" ht="15" customHeight="1" spans="1:19">
      <c r="A16" s="26" t="s">
        <v>42</v>
      </c>
      <c r="B16" s="27">
        <v>155</v>
      </c>
      <c r="C16" s="28">
        <v>153</v>
      </c>
      <c r="D16" s="29">
        <f>'[1]收支月报（从蓝A系统导出粘贴）'!C216</f>
        <v>136</v>
      </c>
      <c r="E16" s="23">
        <f t="shared" si="1"/>
        <v>0.87741935483871</v>
      </c>
      <c r="F16" s="24">
        <f t="shared" si="2"/>
        <v>-17</v>
      </c>
      <c r="G16" s="25">
        <f t="shared" si="3"/>
        <v>-0.111111111111111</v>
      </c>
      <c r="H16" s="28">
        <v>132</v>
      </c>
      <c r="I16" s="24">
        <f t="shared" si="13"/>
        <v>4</v>
      </c>
      <c r="J16" s="51" t="s">
        <v>43</v>
      </c>
      <c r="K16" s="26" t="s">
        <v>44</v>
      </c>
      <c r="L16" s="52">
        <v>1983</v>
      </c>
      <c r="M16" s="53">
        <v>1930</v>
      </c>
      <c r="N16" s="56">
        <f>'[1]收支月报（从蓝A系统导出粘贴）'!F771</f>
        <v>1336</v>
      </c>
      <c r="O16" s="25">
        <f t="shared" si="5"/>
        <v>0.673726676752395</v>
      </c>
      <c r="P16" s="24">
        <f t="shared" si="6"/>
        <v>-594</v>
      </c>
      <c r="Q16" s="25">
        <f t="shared" si="7"/>
        <v>-0.307772020725389</v>
      </c>
      <c r="R16" s="53">
        <v>1324</v>
      </c>
      <c r="S16" s="24">
        <f t="shared" si="11"/>
        <v>12</v>
      </c>
    </row>
    <row r="17" s="2" customFormat="1" ht="15" customHeight="1" spans="1:19">
      <c r="A17" s="26" t="s">
        <v>45</v>
      </c>
      <c r="B17" s="27">
        <v>120</v>
      </c>
      <c r="C17" s="28">
        <v>61</v>
      </c>
      <c r="D17" s="29">
        <f>'[1]收支月报（从蓝A系统导出粘贴）'!C225</f>
        <v>141</v>
      </c>
      <c r="E17" s="23">
        <f t="shared" si="1"/>
        <v>1.175</v>
      </c>
      <c r="F17" s="24">
        <f t="shared" si="2"/>
        <v>80</v>
      </c>
      <c r="G17" s="25">
        <f t="shared" si="3"/>
        <v>1.31147540983607</v>
      </c>
      <c r="H17" s="28">
        <v>139</v>
      </c>
      <c r="I17" s="24">
        <f t="shared" si="13"/>
        <v>2</v>
      </c>
      <c r="J17" s="51" t="s">
        <v>46</v>
      </c>
      <c r="K17" s="26" t="s">
        <v>47</v>
      </c>
      <c r="L17" s="52">
        <v>3183</v>
      </c>
      <c r="M17" s="53">
        <v>3556</v>
      </c>
      <c r="N17" s="56">
        <f>'[1]收支月报（从蓝A系统导出粘贴）'!F842</f>
        <v>3368</v>
      </c>
      <c r="O17" s="25">
        <f t="shared" si="5"/>
        <v>1.05812126924285</v>
      </c>
      <c r="P17" s="24">
        <f t="shared" si="6"/>
        <v>-188</v>
      </c>
      <c r="Q17" s="25">
        <f t="shared" si="7"/>
        <v>-0.0528683914510686</v>
      </c>
      <c r="R17" s="53">
        <v>2772</v>
      </c>
      <c r="S17" s="24">
        <f t="shared" si="11"/>
        <v>596</v>
      </c>
    </row>
    <row r="18" s="2" customFormat="1" ht="15" customHeight="1" spans="1:19">
      <c r="A18" s="26" t="s">
        <v>48</v>
      </c>
      <c r="B18" s="27">
        <v>29</v>
      </c>
      <c r="C18" s="28">
        <v>28</v>
      </c>
      <c r="D18" s="29">
        <f>'[1]收支月报（从蓝A系统导出粘贴）'!C231</f>
        <v>25</v>
      </c>
      <c r="E18" s="23">
        <f t="shared" si="1"/>
        <v>0.862068965517241</v>
      </c>
      <c r="F18" s="24">
        <f t="shared" si="2"/>
        <v>-3</v>
      </c>
      <c r="G18" s="25">
        <f t="shared" si="3"/>
        <v>-0.107142857142857</v>
      </c>
      <c r="H18" s="28">
        <v>24</v>
      </c>
      <c r="I18" s="24">
        <f t="shared" si="13"/>
        <v>1</v>
      </c>
      <c r="J18" s="51" t="s">
        <v>49</v>
      </c>
      <c r="K18" s="26" t="s">
        <v>50</v>
      </c>
      <c r="L18" s="52">
        <v>30465</v>
      </c>
      <c r="M18" s="53">
        <v>27408</v>
      </c>
      <c r="N18" s="56">
        <f>'[1]收支月报（从蓝A系统导出粘贴）'!F865</f>
        <v>33764</v>
      </c>
      <c r="O18" s="25">
        <f t="shared" si="5"/>
        <v>1.10828819957328</v>
      </c>
      <c r="P18" s="24">
        <f t="shared" si="6"/>
        <v>6356</v>
      </c>
      <c r="Q18" s="25">
        <f t="shared" si="7"/>
        <v>0.231903093987157</v>
      </c>
      <c r="R18" s="53">
        <v>30213</v>
      </c>
      <c r="S18" s="24">
        <f t="shared" si="11"/>
        <v>3551</v>
      </c>
    </row>
    <row r="19" s="2" customFormat="1" ht="15" customHeight="1" spans="1:19">
      <c r="A19" s="26" t="s">
        <v>51</v>
      </c>
      <c r="B19" s="27">
        <v>350</v>
      </c>
      <c r="C19" s="28">
        <v>611</v>
      </c>
      <c r="D19" s="29">
        <f>'[1]收支月报（从蓝A系统导出粘贴）'!C240</f>
        <v>37</v>
      </c>
      <c r="E19" s="23">
        <f t="shared" si="1"/>
        <v>0.105714285714286</v>
      </c>
      <c r="F19" s="24">
        <f t="shared" si="2"/>
        <v>-574</v>
      </c>
      <c r="G19" s="25">
        <f t="shared" si="3"/>
        <v>-0.939443535188216</v>
      </c>
      <c r="H19" s="28">
        <v>35</v>
      </c>
      <c r="I19" s="24">
        <f t="shared" si="13"/>
        <v>2</v>
      </c>
      <c r="J19" s="51" t="s">
        <v>52</v>
      </c>
      <c r="K19" s="26" t="s">
        <v>53</v>
      </c>
      <c r="L19" s="52">
        <v>7872</v>
      </c>
      <c r="M19" s="53">
        <v>12290</v>
      </c>
      <c r="N19" s="56">
        <f>'[1]收支月报（从蓝A系统导出粘贴）'!F973</f>
        <v>7093</v>
      </c>
      <c r="O19" s="25">
        <f t="shared" si="5"/>
        <v>0.901041666666667</v>
      </c>
      <c r="P19" s="24">
        <f t="shared" si="6"/>
        <v>-5197</v>
      </c>
      <c r="Q19" s="25">
        <f t="shared" si="7"/>
        <v>-0.42286411716843</v>
      </c>
      <c r="R19" s="53">
        <v>6800</v>
      </c>
      <c r="S19" s="24">
        <f t="shared" si="11"/>
        <v>293</v>
      </c>
    </row>
    <row r="20" s="2" customFormat="1" ht="15" customHeight="1" spans="1:19">
      <c r="A20" s="26" t="s">
        <v>54</v>
      </c>
      <c r="B20" s="27">
        <v>220</v>
      </c>
      <c r="C20" s="28">
        <v>202</v>
      </c>
      <c r="D20" s="29">
        <f>'[1]收支月报（从蓝A系统导出粘贴）'!C249</f>
        <v>241</v>
      </c>
      <c r="E20" s="23">
        <f t="shared" si="1"/>
        <v>1.09545454545455</v>
      </c>
      <c r="F20" s="24">
        <f t="shared" si="2"/>
        <v>39</v>
      </c>
      <c r="G20" s="25">
        <f t="shared" si="3"/>
        <v>0.193069306930693</v>
      </c>
      <c r="H20" s="28">
        <v>225</v>
      </c>
      <c r="I20" s="24">
        <f t="shared" si="13"/>
        <v>16</v>
      </c>
      <c r="J20" s="51" t="s">
        <v>55</v>
      </c>
      <c r="K20" s="26" t="s">
        <v>56</v>
      </c>
      <c r="L20" s="52">
        <v>0</v>
      </c>
      <c r="M20" s="53">
        <v>55</v>
      </c>
      <c r="N20" s="34">
        <f>'[1]收支月报（从蓝A系统导出粘贴）'!F1025</f>
        <v>0</v>
      </c>
      <c r="O20" s="25" t="str">
        <f t="shared" si="5"/>
        <v/>
      </c>
      <c r="P20" s="24">
        <f t="shared" si="6"/>
        <v>-55</v>
      </c>
      <c r="Q20" s="25">
        <f t="shared" si="7"/>
        <v>-1</v>
      </c>
      <c r="R20" s="53"/>
      <c r="S20" s="24">
        <f t="shared" si="11"/>
        <v>0</v>
      </c>
    </row>
    <row r="21" s="2" customFormat="1" ht="15" customHeight="1" spans="1:19">
      <c r="A21" s="26" t="s">
        <v>57</v>
      </c>
      <c r="B21" s="27">
        <v>784</v>
      </c>
      <c r="C21" s="28">
        <v>138</v>
      </c>
      <c r="D21" s="29">
        <f>'[1]收支月报（从蓝A系统导出粘贴）'!C270</f>
        <v>-562</v>
      </c>
      <c r="E21" s="23">
        <f t="shared" si="1"/>
        <v>-0.716836734693878</v>
      </c>
      <c r="F21" s="24">
        <f t="shared" si="2"/>
        <v>-700</v>
      </c>
      <c r="G21" s="32">
        <f t="shared" si="3"/>
        <v>-5.07246376811594</v>
      </c>
      <c r="H21" s="28">
        <v>-595</v>
      </c>
      <c r="I21" s="24">
        <f t="shared" si="13"/>
        <v>33</v>
      </c>
      <c r="J21" s="51" t="s">
        <v>58</v>
      </c>
      <c r="K21" s="26" t="s">
        <v>59</v>
      </c>
      <c r="L21" s="52">
        <v>154</v>
      </c>
      <c r="M21" s="53">
        <v>138</v>
      </c>
      <c r="N21" s="56">
        <f>'[1]收支月报（从蓝A系统导出粘贴）'!F1089</f>
        <v>137</v>
      </c>
      <c r="O21" s="25">
        <f t="shared" si="5"/>
        <v>0.88961038961039</v>
      </c>
      <c r="P21" s="24">
        <f t="shared" si="6"/>
        <v>-1</v>
      </c>
      <c r="Q21" s="25">
        <f t="shared" si="7"/>
        <v>-0.0072463768115942</v>
      </c>
      <c r="R21" s="53">
        <v>128</v>
      </c>
      <c r="S21" s="24">
        <f t="shared" si="11"/>
        <v>9</v>
      </c>
    </row>
    <row r="22" s="2" customFormat="1" ht="15" customHeight="1" spans="1:19">
      <c r="A22" s="26" t="s">
        <v>60</v>
      </c>
      <c r="B22" s="27">
        <v>195</v>
      </c>
      <c r="C22" s="28">
        <v>189</v>
      </c>
      <c r="D22" s="29">
        <f>'[1]收支月报（从蓝A系统导出粘贴）'!C274</f>
        <v>119</v>
      </c>
      <c r="E22" s="23">
        <f t="shared" si="1"/>
        <v>0.61025641025641</v>
      </c>
      <c r="F22" s="24">
        <f t="shared" si="2"/>
        <v>-70</v>
      </c>
      <c r="G22" s="25">
        <f t="shared" si="3"/>
        <v>-0.37037037037037</v>
      </c>
      <c r="H22" s="28">
        <v>109</v>
      </c>
      <c r="I22" s="24">
        <f t="shared" si="13"/>
        <v>10</v>
      </c>
      <c r="J22" s="51" t="s">
        <v>61</v>
      </c>
      <c r="K22" s="26" t="s">
        <v>62</v>
      </c>
      <c r="L22" s="52">
        <v>0</v>
      </c>
      <c r="M22" s="53">
        <v>6</v>
      </c>
      <c r="N22" s="34">
        <f>'[1]收支月报（从蓝A系统导出粘贴）'!F1109</f>
        <v>3</v>
      </c>
      <c r="O22" s="25" t="str">
        <f t="shared" si="5"/>
        <v/>
      </c>
      <c r="P22" s="24">
        <f t="shared" si="6"/>
        <v>-3</v>
      </c>
      <c r="Q22" s="25">
        <f t="shared" si="7"/>
        <v>-0.5</v>
      </c>
      <c r="R22" s="53">
        <v>3</v>
      </c>
      <c r="S22" s="24">
        <f t="shared" si="11"/>
        <v>0</v>
      </c>
    </row>
    <row r="23" s="2" customFormat="1" ht="15" customHeight="1" spans="1:19">
      <c r="A23" s="26"/>
      <c r="B23" s="33"/>
      <c r="C23" s="29"/>
      <c r="D23" s="29"/>
      <c r="E23" s="23" t="str">
        <f t="shared" si="1"/>
        <v/>
      </c>
      <c r="F23" s="24" t="str">
        <f t="shared" si="2"/>
        <v/>
      </c>
      <c r="G23" s="25" t="str">
        <f t="shared" si="3"/>
        <v/>
      </c>
      <c r="H23" s="29"/>
      <c r="I23" s="24"/>
      <c r="J23" s="51" t="s">
        <v>63</v>
      </c>
      <c r="K23" s="26" t="s">
        <v>64</v>
      </c>
      <c r="L23" s="52">
        <v>416</v>
      </c>
      <c r="M23" s="53">
        <v>770</v>
      </c>
      <c r="N23" s="56">
        <f>'[1]收支月报（从蓝A系统导出粘贴）'!F1149</f>
        <v>407</v>
      </c>
      <c r="O23" s="25">
        <f t="shared" si="5"/>
        <v>0.978365384615385</v>
      </c>
      <c r="P23" s="24">
        <f t="shared" si="6"/>
        <v>-363</v>
      </c>
      <c r="Q23" s="25">
        <f t="shared" si="7"/>
        <v>-0.471428571428571</v>
      </c>
      <c r="R23" s="53">
        <v>372</v>
      </c>
      <c r="S23" s="24">
        <f t="shared" si="11"/>
        <v>35</v>
      </c>
    </row>
    <row r="24" s="2" customFormat="1" ht="15" customHeight="1" spans="1:19">
      <c r="A24" s="26"/>
      <c r="B24" s="21"/>
      <c r="C24" s="22"/>
      <c r="D24" s="22"/>
      <c r="E24" s="23" t="str">
        <f t="shared" si="1"/>
        <v/>
      </c>
      <c r="F24" s="24" t="str">
        <f t="shared" si="2"/>
        <v/>
      </c>
      <c r="G24" s="25" t="str">
        <f t="shared" si="3"/>
        <v/>
      </c>
      <c r="H24" s="22"/>
      <c r="I24" s="24"/>
      <c r="J24" s="51" t="s">
        <v>65</v>
      </c>
      <c r="K24" s="26" t="s">
        <v>66</v>
      </c>
      <c r="L24" s="52">
        <v>7628</v>
      </c>
      <c r="M24" s="53">
        <v>5066</v>
      </c>
      <c r="N24" s="56">
        <f>'[1]收支月报（从蓝A系统导出粘贴）'!F1194</f>
        <v>8373</v>
      </c>
      <c r="O24" s="25">
        <f t="shared" si="5"/>
        <v>1.09766649187205</v>
      </c>
      <c r="P24" s="24">
        <f t="shared" si="6"/>
        <v>3307</v>
      </c>
      <c r="Q24" s="25">
        <f t="shared" si="7"/>
        <v>0.652783260955389</v>
      </c>
      <c r="R24" s="53">
        <v>6959</v>
      </c>
      <c r="S24" s="24">
        <f t="shared" si="11"/>
        <v>1414</v>
      </c>
    </row>
    <row r="25" s="2" customFormat="1" ht="20.25" customHeight="1" spans="1:19">
      <c r="A25" s="16" t="s">
        <v>67</v>
      </c>
      <c r="B25" s="21">
        <f>B26+B27+B28+B29+B30+B31+B32</f>
        <v>6820</v>
      </c>
      <c r="C25" s="22">
        <f t="shared" ref="C25:H25" si="14">C26+C27+C28+C29+C30+C31+C32</f>
        <v>5622</v>
      </c>
      <c r="D25" s="22">
        <f t="shared" si="14"/>
        <v>7125</v>
      </c>
      <c r="E25" s="23">
        <f t="shared" si="1"/>
        <v>1.04472140762463</v>
      </c>
      <c r="F25" s="24">
        <f t="shared" si="2"/>
        <v>1503</v>
      </c>
      <c r="G25" s="25">
        <f t="shared" si="3"/>
        <v>0.267342582710779</v>
      </c>
      <c r="H25" s="22">
        <f t="shared" si="14"/>
        <v>6872</v>
      </c>
      <c r="I25" s="24">
        <f t="shared" ref="I25:I31" si="15">D25-H25</f>
        <v>253</v>
      </c>
      <c r="J25" s="51" t="s">
        <v>68</v>
      </c>
      <c r="K25" s="26" t="s">
        <v>69</v>
      </c>
      <c r="L25" s="52">
        <v>3268</v>
      </c>
      <c r="M25" s="53">
        <v>568</v>
      </c>
      <c r="N25" s="34">
        <f>'[1]收支月报（从蓝A系统导出粘贴）'!F1260</f>
        <v>10268</v>
      </c>
      <c r="O25" s="25">
        <f t="shared" si="5"/>
        <v>3.14198286413709</v>
      </c>
      <c r="P25" s="24">
        <f t="shared" si="6"/>
        <v>9700</v>
      </c>
      <c r="Q25" s="25">
        <f t="shared" si="7"/>
        <v>17.0774647887324</v>
      </c>
      <c r="R25" s="53">
        <v>10001</v>
      </c>
      <c r="S25" s="24">
        <f t="shared" si="11"/>
        <v>267</v>
      </c>
    </row>
    <row r="26" s="2" customFormat="1" ht="15" customHeight="1" spans="1:19">
      <c r="A26" s="26" t="s">
        <v>70</v>
      </c>
      <c r="B26" s="27">
        <v>1384</v>
      </c>
      <c r="C26" s="28">
        <v>3386</v>
      </c>
      <c r="D26" s="22">
        <f>'[1]收支月报（从蓝A系统导出粘贴）'!C287</f>
        <v>374</v>
      </c>
      <c r="E26" s="23">
        <f t="shared" si="1"/>
        <v>0.270231213872832</v>
      </c>
      <c r="F26" s="24">
        <f t="shared" si="2"/>
        <v>-3012</v>
      </c>
      <c r="G26" s="25">
        <f t="shared" si="3"/>
        <v>-0.889545186060248</v>
      </c>
      <c r="H26" s="28">
        <v>321</v>
      </c>
      <c r="I26" s="24">
        <f t="shared" si="15"/>
        <v>53</v>
      </c>
      <c r="J26" s="51" t="s">
        <v>71</v>
      </c>
      <c r="K26" s="26" t="s">
        <v>72</v>
      </c>
      <c r="L26" s="52">
        <v>2</v>
      </c>
      <c r="M26" s="53">
        <v>0</v>
      </c>
      <c r="N26" s="56">
        <f>'[1]收支月报（从蓝A系统导出粘贴）'!F1215</f>
        <v>0</v>
      </c>
      <c r="O26" s="25">
        <f t="shared" si="5"/>
        <v>0</v>
      </c>
      <c r="P26" s="24" t="str">
        <f t="shared" si="6"/>
        <v/>
      </c>
      <c r="Q26" s="25" t="str">
        <f t="shared" si="7"/>
        <v/>
      </c>
      <c r="R26" s="53"/>
      <c r="S26" s="24">
        <f t="shared" si="11"/>
        <v>0</v>
      </c>
    </row>
    <row r="27" s="2" customFormat="1" ht="15" customHeight="1" spans="1:19">
      <c r="A27" s="26" t="s">
        <v>73</v>
      </c>
      <c r="B27" s="27">
        <v>436</v>
      </c>
      <c r="C27" s="28">
        <v>1291</v>
      </c>
      <c r="D27" s="22">
        <f>'[1]收支月报（从蓝A系统导出粘贴）'!C314</f>
        <v>273</v>
      </c>
      <c r="E27" s="23">
        <f t="shared" si="1"/>
        <v>0.626146788990826</v>
      </c>
      <c r="F27" s="24">
        <f t="shared" si="2"/>
        <v>-1018</v>
      </c>
      <c r="G27" s="25">
        <f t="shared" si="3"/>
        <v>-0.78853601859024</v>
      </c>
      <c r="H27" s="28">
        <v>273</v>
      </c>
      <c r="I27" s="24">
        <f t="shared" si="15"/>
        <v>0</v>
      </c>
      <c r="J27" s="51" t="s">
        <v>74</v>
      </c>
      <c r="K27" s="26" t="s">
        <v>75</v>
      </c>
      <c r="L27" s="52">
        <v>3500</v>
      </c>
      <c r="M27" s="53">
        <v>3171</v>
      </c>
      <c r="N27" s="34">
        <f>'[1]收支月报（从蓝A系统导出粘贴）'!F1313</f>
        <v>3186</v>
      </c>
      <c r="O27" s="25">
        <f t="shared" si="5"/>
        <v>0.910285714285714</v>
      </c>
      <c r="P27" s="24">
        <f t="shared" si="6"/>
        <v>15</v>
      </c>
      <c r="Q27" s="25">
        <f t="shared" si="7"/>
        <v>0.00473036896877956</v>
      </c>
      <c r="R27" s="53">
        <v>3165</v>
      </c>
      <c r="S27" s="24">
        <f t="shared" si="11"/>
        <v>21</v>
      </c>
    </row>
    <row r="28" s="2" customFormat="1" ht="15" customHeight="1" spans="1:19">
      <c r="A28" s="26" t="s">
        <v>76</v>
      </c>
      <c r="B28" s="27">
        <v>1500</v>
      </c>
      <c r="C28" s="28">
        <v>333</v>
      </c>
      <c r="D28" s="29">
        <f>'[1]收支月报（从蓝A系统导出粘贴）'!C508</f>
        <v>1572</v>
      </c>
      <c r="E28" s="23">
        <f t="shared" si="1"/>
        <v>1.048</v>
      </c>
      <c r="F28" s="24">
        <f t="shared" si="2"/>
        <v>1239</v>
      </c>
      <c r="G28" s="25">
        <f t="shared" si="3"/>
        <v>3.72072072072072</v>
      </c>
      <c r="H28" s="28">
        <v>1572</v>
      </c>
      <c r="I28" s="24">
        <f t="shared" si="15"/>
        <v>0</v>
      </c>
      <c r="J28" s="51" t="s">
        <v>77</v>
      </c>
      <c r="K28" s="26" t="s">
        <v>78</v>
      </c>
      <c r="L28" s="52">
        <v>3500</v>
      </c>
      <c r="M28" s="53">
        <v>1235</v>
      </c>
      <c r="N28" s="34">
        <f>'[1]收支月报（从蓝A系统导出粘贴）'!F1310</f>
        <v>3149</v>
      </c>
      <c r="O28" s="25">
        <f t="shared" si="5"/>
        <v>0.899714285714286</v>
      </c>
      <c r="P28" s="24">
        <f t="shared" si="6"/>
        <v>1914</v>
      </c>
      <c r="Q28" s="25">
        <f t="shared" si="7"/>
        <v>1.5497975708502</v>
      </c>
      <c r="R28" s="53">
        <v>3149</v>
      </c>
      <c r="S28" s="24">
        <f t="shared" si="11"/>
        <v>0</v>
      </c>
    </row>
    <row r="29" s="2" customFormat="1" ht="25" customHeight="1" spans="1:19">
      <c r="A29" s="26" t="s">
        <v>79</v>
      </c>
      <c r="B29" s="27"/>
      <c r="C29" s="28">
        <v>0</v>
      </c>
      <c r="D29" s="29">
        <f>'[1]收支月报（从蓝A系统导出粘贴）'!C548</f>
        <v>0</v>
      </c>
      <c r="E29" s="23" t="str">
        <f t="shared" si="1"/>
        <v/>
      </c>
      <c r="F29" s="24" t="str">
        <f t="shared" si="2"/>
        <v/>
      </c>
      <c r="G29" s="25" t="str">
        <f t="shared" si="3"/>
        <v/>
      </c>
      <c r="H29" s="28"/>
      <c r="I29" s="24">
        <f t="shared" si="15"/>
        <v>0</v>
      </c>
      <c r="J29" s="51" t="s">
        <v>80</v>
      </c>
      <c r="K29" s="40" t="s">
        <v>81</v>
      </c>
      <c r="L29" s="57">
        <v>7</v>
      </c>
      <c r="M29" s="53">
        <v>33</v>
      </c>
      <c r="N29" s="34">
        <f>'[1]收支月报（从蓝A系统导出粘贴）'!F1326</f>
        <v>7</v>
      </c>
      <c r="O29" s="25">
        <f t="shared" si="5"/>
        <v>1</v>
      </c>
      <c r="P29" s="24">
        <f t="shared" si="6"/>
        <v>-26</v>
      </c>
      <c r="Q29" s="25">
        <f t="shared" si="7"/>
        <v>-0.787878787878788</v>
      </c>
      <c r="R29" s="53">
        <v>7</v>
      </c>
      <c r="S29" s="24">
        <f t="shared" si="11"/>
        <v>0</v>
      </c>
    </row>
    <row r="30" s="2" customFormat="1" ht="25" customHeight="1" spans="1:19">
      <c r="A30" s="26" t="s">
        <v>82</v>
      </c>
      <c r="B30" s="27">
        <v>3500</v>
      </c>
      <c r="C30" s="28">
        <v>610</v>
      </c>
      <c r="D30" s="29">
        <f>'[1]收支月报（从蓝A系统导出粘贴）'!C567</f>
        <v>4605</v>
      </c>
      <c r="E30" s="23">
        <f t="shared" si="1"/>
        <v>1.31571428571429</v>
      </c>
      <c r="F30" s="24">
        <f t="shared" si="2"/>
        <v>3995</v>
      </c>
      <c r="G30" s="25">
        <f t="shared" si="3"/>
        <v>6.54918032786885</v>
      </c>
      <c r="H30" s="28">
        <v>4605</v>
      </c>
      <c r="I30" s="24">
        <f t="shared" si="15"/>
        <v>0</v>
      </c>
      <c r="J30" s="51" t="s">
        <v>83</v>
      </c>
      <c r="K30" s="40" t="s">
        <v>84</v>
      </c>
      <c r="L30" s="54">
        <v>1800</v>
      </c>
      <c r="M30" s="53"/>
      <c r="N30" s="34"/>
      <c r="O30" s="25">
        <f t="shared" si="5"/>
        <v>0</v>
      </c>
      <c r="P30" s="24" t="str">
        <f t="shared" si="6"/>
        <v/>
      </c>
      <c r="Q30" s="25" t="str">
        <f t="shared" si="7"/>
        <v/>
      </c>
      <c r="R30" s="53"/>
      <c r="S30" s="24">
        <f t="shared" si="11"/>
        <v>0</v>
      </c>
    </row>
    <row r="31" s="2" customFormat="1" ht="15" customHeight="1" spans="1:19">
      <c r="A31" s="26" t="s">
        <v>85</v>
      </c>
      <c r="B31" s="21"/>
      <c r="C31" s="28">
        <v>0</v>
      </c>
      <c r="D31" s="34">
        <f>'[1]收支月报（从蓝A系统导出粘贴）'!C618</f>
        <v>300</v>
      </c>
      <c r="E31" s="23" t="str">
        <f t="shared" si="1"/>
        <v/>
      </c>
      <c r="F31" s="24" t="str">
        <f t="shared" si="2"/>
        <v/>
      </c>
      <c r="G31" s="25" t="str">
        <f t="shared" si="3"/>
        <v/>
      </c>
      <c r="H31" s="28">
        <v>100</v>
      </c>
      <c r="I31" s="24">
        <f t="shared" si="15"/>
        <v>200</v>
      </c>
      <c r="J31" s="51" t="s">
        <v>86</v>
      </c>
      <c r="K31" s="40" t="s">
        <v>87</v>
      </c>
      <c r="L31" s="58"/>
      <c r="M31" s="53"/>
      <c r="N31" s="34"/>
      <c r="O31" s="25" t="str">
        <f t="shared" si="5"/>
        <v/>
      </c>
      <c r="P31" s="24" t="str">
        <f t="shared" si="6"/>
        <v/>
      </c>
      <c r="Q31" s="25" t="str">
        <f t="shared" si="7"/>
        <v/>
      </c>
      <c r="R31" s="53"/>
      <c r="S31" s="24">
        <f t="shared" si="11"/>
        <v>0</v>
      </c>
    </row>
    <row r="32" s="3" customFormat="1" ht="15" customHeight="1" spans="1:20">
      <c r="A32" s="26" t="s">
        <v>88</v>
      </c>
      <c r="B32" s="27">
        <v>0</v>
      </c>
      <c r="C32" s="35">
        <v>2</v>
      </c>
      <c r="D32" s="34">
        <f>'[1]收支月报（从蓝A系统导出粘贴）'!C627</f>
        <v>1</v>
      </c>
      <c r="E32" s="23" t="str">
        <f t="shared" si="1"/>
        <v/>
      </c>
      <c r="F32" s="24">
        <f t="shared" si="2"/>
        <v>-1</v>
      </c>
      <c r="G32" s="25">
        <f t="shared" si="3"/>
        <v>-0.5</v>
      </c>
      <c r="H32" s="28">
        <v>1</v>
      </c>
      <c r="I32" s="24"/>
      <c r="J32" s="51" t="s">
        <v>89</v>
      </c>
      <c r="K32" s="40" t="s">
        <v>90</v>
      </c>
      <c r="L32" s="58"/>
      <c r="M32" s="53"/>
      <c r="N32" s="39"/>
      <c r="O32" s="25" t="str">
        <f t="shared" si="5"/>
        <v/>
      </c>
      <c r="P32" s="24" t="str">
        <f t="shared" si="6"/>
        <v/>
      </c>
      <c r="Q32" s="25" t="str">
        <f t="shared" si="7"/>
        <v/>
      </c>
      <c r="R32" s="53"/>
      <c r="S32" s="24">
        <f t="shared" si="11"/>
        <v>0</v>
      </c>
      <c r="T32" s="2"/>
    </row>
    <row r="33" s="3" customFormat="1" ht="15" customHeight="1" spans="1:20">
      <c r="A33" s="36"/>
      <c r="B33" s="37"/>
      <c r="C33" s="38"/>
      <c r="D33" s="39"/>
      <c r="E33" s="23"/>
      <c r="F33" s="24"/>
      <c r="G33" s="25"/>
      <c r="H33" s="33"/>
      <c r="I33" s="24"/>
      <c r="J33" s="51"/>
      <c r="K33" s="40"/>
      <c r="L33" s="58"/>
      <c r="M33" s="53"/>
      <c r="N33" s="39"/>
      <c r="O33" s="25"/>
      <c r="P33" s="24"/>
      <c r="Q33" s="25"/>
      <c r="R33" s="53"/>
      <c r="S33" s="24"/>
      <c r="T33" s="2"/>
    </row>
    <row r="34" s="2" customFormat="1" ht="12.75" customHeight="1" spans="1:19">
      <c r="A34" s="16" t="s">
        <v>91</v>
      </c>
      <c r="B34" s="21">
        <v>5823</v>
      </c>
      <c r="C34" s="28">
        <v>4079</v>
      </c>
      <c r="D34" s="29">
        <f>'[1]收支月报（从蓝A系统导出粘贴）'!C637</f>
        <v>600</v>
      </c>
      <c r="E34" s="23">
        <f t="shared" ref="E34:E42" si="16">IF(OR(B34="",B34=0),"",D34/B34)</f>
        <v>0.103039670273055</v>
      </c>
      <c r="F34" s="24">
        <f t="shared" ref="F34:F42" si="17">IF(OR(C34="",C34=0),"",D34-C34)</f>
        <v>-3479</v>
      </c>
      <c r="G34" s="25">
        <f t="shared" ref="G34:G42" si="18">IF(OR(C34="",C34=0),"",SUM(F34/C34))</f>
        <v>-0.852905123804854</v>
      </c>
      <c r="H34" s="28">
        <v>580</v>
      </c>
      <c r="I34" s="24">
        <f>D34-H34</f>
        <v>20</v>
      </c>
      <c r="J34" s="22"/>
      <c r="K34" s="16" t="s">
        <v>92</v>
      </c>
      <c r="L34" s="52">
        <v>7024</v>
      </c>
      <c r="M34" s="59">
        <v>6960</v>
      </c>
      <c r="N34" s="34">
        <f>'[1]收支月报（从蓝A系统导出粘贴）'!F1334</f>
        <v>3008</v>
      </c>
      <c r="O34" s="25">
        <f>IF(OR(L34="",L34=0),"",N34/L34)</f>
        <v>0.428246013667426</v>
      </c>
      <c r="P34" s="24">
        <f>IF(OR(M34="",M34=0),"",N34-M34)</f>
        <v>-3952</v>
      </c>
      <c r="Q34" s="25">
        <f t="shared" ref="Q34:Q42" si="19">IF(OR(M34="",M34=0),"",SUM(P34/M34))</f>
        <v>-0.567816091954023</v>
      </c>
      <c r="R34" s="53">
        <v>2779</v>
      </c>
      <c r="S34" s="24">
        <f>N34-R34</f>
        <v>229</v>
      </c>
    </row>
    <row r="35" s="1" customFormat="1" ht="12.75" customHeight="1" spans="1:19">
      <c r="A35" s="26" t="s">
        <v>93</v>
      </c>
      <c r="B35" s="22">
        <f>SUM(B36:B39)</f>
        <v>8865.5</v>
      </c>
      <c r="C35" s="22">
        <f t="shared" ref="C35:H35" si="20">SUM(C36:C39)</f>
        <v>3475</v>
      </c>
      <c r="D35" s="22">
        <f t="shared" si="20"/>
        <v>4606</v>
      </c>
      <c r="E35" s="23">
        <f t="shared" si="16"/>
        <v>0.519542045005922</v>
      </c>
      <c r="F35" s="24">
        <f t="shared" si="17"/>
        <v>1131</v>
      </c>
      <c r="G35" s="25">
        <f t="shared" si="18"/>
        <v>0.325467625899281</v>
      </c>
      <c r="H35" s="22">
        <f t="shared" si="20"/>
        <v>4152</v>
      </c>
      <c r="I35" s="24"/>
      <c r="J35" s="22"/>
      <c r="K35" s="40"/>
      <c r="L35" s="29"/>
      <c r="M35" s="29"/>
      <c r="N35" s="29"/>
      <c r="O35" s="60"/>
      <c r="P35" s="24"/>
      <c r="Q35" s="25" t="str">
        <f t="shared" si="19"/>
        <v/>
      </c>
      <c r="R35" s="29"/>
      <c r="S35" s="61"/>
    </row>
    <row r="36" s="1" customFormat="1" ht="12.75" customHeight="1" spans="1:19">
      <c r="A36" s="26" t="s">
        <v>94</v>
      </c>
      <c r="B36" s="29">
        <f>SUM(B8*2)</f>
        <v>7730</v>
      </c>
      <c r="C36" s="29">
        <f t="shared" ref="C36:H36" si="21">C8</f>
        <v>2527</v>
      </c>
      <c r="D36" s="29">
        <f t="shared" si="21"/>
        <v>3445</v>
      </c>
      <c r="E36" s="23">
        <f t="shared" si="16"/>
        <v>0.445666235446313</v>
      </c>
      <c r="F36" s="24">
        <f t="shared" si="17"/>
        <v>918</v>
      </c>
      <c r="G36" s="25">
        <f t="shared" si="18"/>
        <v>0.363276612584092</v>
      </c>
      <c r="H36" s="29">
        <f t="shared" si="21"/>
        <v>3060</v>
      </c>
      <c r="I36" s="24"/>
      <c r="J36" s="22"/>
      <c r="K36" s="40"/>
      <c r="L36" s="29"/>
      <c r="M36" s="29"/>
      <c r="N36" s="29"/>
      <c r="O36" s="60"/>
      <c r="P36" s="24"/>
      <c r="Q36" s="25" t="str">
        <f t="shared" si="19"/>
        <v/>
      </c>
      <c r="R36" s="29"/>
      <c r="S36" s="61"/>
    </row>
    <row r="37" s="1" customFormat="1" ht="12.75" customHeight="1" spans="1:19">
      <c r="A37" s="26" t="s">
        <v>95</v>
      </c>
      <c r="B37" s="29"/>
      <c r="C37" s="29"/>
      <c r="D37" s="29"/>
      <c r="E37" s="23" t="str">
        <f t="shared" si="16"/>
        <v/>
      </c>
      <c r="F37" s="24" t="str">
        <f t="shared" si="17"/>
        <v/>
      </c>
      <c r="G37" s="25" t="str">
        <f t="shared" si="18"/>
        <v/>
      </c>
      <c r="H37" s="29"/>
      <c r="I37" s="61"/>
      <c r="J37" s="29"/>
      <c r="K37" s="40"/>
      <c r="L37" s="29"/>
      <c r="M37" s="29"/>
      <c r="N37" s="29"/>
      <c r="O37" s="60"/>
      <c r="P37" s="24"/>
      <c r="Q37" s="25" t="str">
        <f t="shared" si="19"/>
        <v/>
      </c>
      <c r="R37" s="29"/>
      <c r="S37" s="61"/>
    </row>
    <row r="38" s="1" customFormat="1" ht="12.75" customHeight="1" spans="1:19">
      <c r="A38" s="26" t="s">
        <v>96</v>
      </c>
      <c r="B38" s="29">
        <f>SUM(B10*1.5)</f>
        <v>475.5</v>
      </c>
      <c r="C38" s="29">
        <f t="shared" ref="C38:H38" si="22">C10*1.5</f>
        <v>379.5</v>
      </c>
      <c r="D38" s="29">
        <f t="shared" si="22"/>
        <v>613.5</v>
      </c>
      <c r="E38" s="23">
        <f t="shared" si="16"/>
        <v>1.29022082018927</v>
      </c>
      <c r="F38" s="24">
        <f t="shared" si="17"/>
        <v>234</v>
      </c>
      <c r="G38" s="25">
        <f t="shared" si="18"/>
        <v>0.616600790513834</v>
      </c>
      <c r="H38" s="29">
        <f t="shared" si="22"/>
        <v>600</v>
      </c>
      <c r="I38" s="61"/>
      <c r="J38" s="29"/>
      <c r="K38" s="40"/>
      <c r="L38" s="57"/>
      <c r="M38" s="57"/>
      <c r="N38" s="57"/>
      <c r="O38" s="60"/>
      <c r="P38" s="24"/>
      <c r="Q38" s="25" t="str">
        <f t="shared" si="19"/>
        <v/>
      </c>
      <c r="R38" s="57"/>
      <c r="S38" s="61"/>
    </row>
    <row r="39" s="1" customFormat="1" ht="12.75" customHeight="1" spans="1:19">
      <c r="A39" s="40" t="s">
        <v>97</v>
      </c>
      <c r="B39" s="29">
        <f>SUM(B12*1.5)</f>
        <v>660</v>
      </c>
      <c r="C39" s="29">
        <f t="shared" ref="C39:H39" si="23">C12*1.5</f>
        <v>568.5</v>
      </c>
      <c r="D39" s="29">
        <f t="shared" si="23"/>
        <v>547.5</v>
      </c>
      <c r="E39" s="23">
        <f t="shared" si="16"/>
        <v>0.829545454545455</v>
      </c>
      <c r="F39" s="24">
        <f t="shared" si="17"/>
        <v>-21</v>
      </c>
      <c r="G39" s="25">
        <f t="shared" si="18"/>
        <v>-0.0369393139841689</v>
      </c>
      <c r="H39" s="29">
        <f t="shared" si="23"/>
        <v>492</v>
      </c>
      <c r="I39" s="61"/>
      <c r="J39" s="29"/>
      <c r="K39" s="40"/>
      <c r="L39" s="57"/>
      <c r="M39" s="57"/>
      <c r="N39" s="57"/>
      <c r="O39" s="60"/>
      <c r="P39" s="24"/>
      <c r="Q39" s="25" t="str">
        <f t="shared" si="19"/>
        <v/>
      </c>
      <c r="R39" s="57"/>
      <c r="S39" s="61"/>
    </row>
    <row r="40" s="1" customFormat="1" ht="12.75" customHeight="1" spans="1:19">
      <c r="A40" s="40" t="s">
        <v>98</v>
      </c>
      <c r="B40" s="29">
        <f>SUM(B8+B36)</f>
        <v>11595</v>
      </c>
      <c r="C40" s="29">
        <f t="shared" ref="C40:H40" si="24">C8+C36</f>
        <v>5054</v>
      </c>
      <c r="D40" s="29">
        <f t="shared" si="24"/>
        <v>6890</v>
      </c>
      <c r="E40" s="23">
        <f t="shared" si="16"/>
        <v>0.594221647261751</v>
      </c>
      <c r="F40" s="24">
        <f t="shared" si="17"/>
        <v>1836</v>
      </c>
      <c r="G40" s="25">
        <f t="shared" si="18"/>
        <v>0.363276612584092</v>
      </c>
      <c r="H40" s="29">
        <f t="shared" si="24"/>
        <v>6120</v>
      </c>
      <c r="I40" s="61"/>
      <c r="J40" s="29"/>
      <c r="K40" s="40"/>
      <c r="L40" s="57"/>
      <c r="M40" s="57"/>
      <c r="N40" s="57"/>
      <c r="O40" s="60"/>
      <c r="P40" s="24"/>
      <c r="Q40" s="25" t="str">
        <f t="shared" si="19"/>
        <v/>
      </c>
      <c r="R40" s="57"/>
      <c r="S40" s="61"/>
    </row>
    <row r="41" s="1" customFormat="1" ht="12.75" customHeight="1" spans="1:19">
      <c r="A41" s="40" t="s">
        <v>99</v>
      </c>
      <c r="B41" s="29">
        <f>SUM(B10+B38)</f>
        <v>792.5</v>
      </c>
      <c r="C41" s="29">
        <f t="shared" ref="C41:H41" si="25">C10+C38</f>
        <v>632.5</v>
      </c>
      <c r="D41" s="29">
        <f t="shared" si="25"/>
        <v>1022.5</v>
      </c>
      <c r="E41" s="23">
        <f t="shared" si="16"/>
        <v>1.29022082018927</v>
      </c>
      <c r="F41" s="24">
        <f t="shared" si="17"/>
        <v>390</v>
      </c>
      <c r="G41" s="25">
        <f t="shared" si="18"/>
        <v>0.616600790513834</v>
      </c>
      <c r="H41" s="29">
        <f t="shared" si="25"/>
        <v>1000</v>
      </c>
      <c r="I41" s="61"/>
      <c r="J41" s="29"/>
      <c r="K41" s="40"/>
      <c r="L41" s="57"/>
      <c r="M41" s="57"/>
      <c r="N41" s="57"/>
      <c r="O41" s="60"/>
      <c r="P41" s="24"/>
      <c r="Q41" s="25" t="str">
        <f t="shared" si="19"/>
        <v/>
      </c>
      <c r="R41" s="57"/>
      <c r="S41" s="61"/>
    </row>
    <row r="42" s="1" customFormat="1" ht="12.75" customHeight="1" spans="1:19">
      <c r="A42" s="40" t="s">
        <v>100</v>
      </c>
      <c r="B42" s="29">
        <f>SUM(B12+B39)</f>
        <v>1100</v>
      </c>
      <c r="C42" s="29">
        <f t="shared" ref="C42:H42" si="26">C12+C39</f>
        <v>947.5</v>
      </c>
      <c r="D42" s="29">
        <f t="shared" si="26"/>
        <v>912.5</v>
      </c>
      <c r="E42" s="23">
        <f t="shared" si="16"/>
        <v>0.829545454545455</v>
      </c>
      <c r="F42" s="24">
        <f t="shared" si="17"/>
        <v>-35</v>
      </c>
      <c r="G42" s="25">
        <f t="shared" si="18"/>
        <v>-0.0369393139841689</v>
      </c>
      <c r="H42" s="29">
        <f t="shared" si="26"/>
        <v>820</v>
      </c>
      <c r="I42" s="61"/>
      <c r="J42" s="29"/>
      <c r="K42" s="40"/>
      <c r="L42" s="57"/>
      <c r="M42" s="57"/>
      <c r="N42" s="57"/>
      <c r="O42" s="60"/>
      <c r="P42" s="24"/>
      <c r="Q42" s="25" t="str">
        <f t="shared" si="19"/>
        <v/>
      </c>
      <c r="R42" s="57"/>
      <c r="S42" s="61"/>
    </row>
  </sheetData>
  <protectedRanges>
    <protectedRange sqref="A1:A2 M1:Q2 C1:I2" name="区域6" securityDescriptor=""/>
    <protectedRange sqref="B1:B2" name="区域6_1_2_1" securityDescriptor=""/>
    <protectedRange sqref="K1:K2" name="区域6_1_4" securityDescriptor=""/>
    <protectedRange sqref="L1:L2" name="区域6_1_3_1" securityDescriptor=""/>
    <protectedRange sqref="B36:B39 D36:D39 H36:H39" name="区域3_1_1_1_1" securityDescriptor=""/>
    <protectedRange sqref="B35 D35 H35" name="区域2_1_1_1_1_2_2_1" securityDescriptor=""/>
    <protectedRange sqref="D34 H34" name="区域2_1_4" securityDescriptor=""/>
    <protectedRange sqref="B34 B31" name="区域2_1_1_1_1_2_2_1_1" securityDescriptor=""/>
    <protectedRange sqref="D31 H31" name="区域2_5_2" securityDescriptor=""/>
    <protectedRange sqref="S35" name="区域3_2" securityDescriptor=""/>
    <protectedRange sqref="D26:D30 H26:H30" name="区域2_5_1_1" securityDescriptor=""/>
    <protectedRange sqref="C36:C39" name="区域3_1_1_1_1_3" securityDescriptor=""/>
    <protectedRange sqref="C35" name="区域2_1_1_1_1_2_2_1_4" securityDescriptor=""/>
    <protectedRange sqref="C34" name="区域2_1_4_3" securityDescriptor=""/>
    <protectedRange sqref="C31" name="区域2_5_2_3" securityDescriptor=""/>
    <protectedRange sqref="C26:C30" name="区域2_5_1_1_3" securityDescriptor="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2025-02-17T05:03:48Z</dcterms:created>
  <dcterms:modified xsi:type="dcterms:W3CDTF">2025-02-17T05:04:18Z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